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6 Capacité construire un BP/"/>
    </mc:Choice>
  </mc:AlternateContent>
  <xr:revisionPtr revIDLastSave="0" documentId="13_ncr:1_{BA2415D2-1A80-014C-974A-0D317B8820F2}" xr6:coauthVersionLast="36" xr6:coauthVersionMax="36" xr10:uidLastSave="{00000000-0000-0000-0000-000000000000}"/>
  <bookViews>
    <workbookView xWindow="6000" yWindow="460" windowWidth="26840" windowHeight="19600" xr2:uid="{32B69F19-3F7C-9846-9F0A-03262C5902CC}"/>
  </bookViews>
  <sheets>
    <sheet name="Capacity BP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20" l="1"/>
  <c r="L89" i="20" s="1"/>
  <c r="B84" i="20"/>
  <c r="L55" i="20" l="1"/>
  <c r="L54" i="20"/>
  <c r="L53" i="20"/>
  <c r="L52" i="20"/>
  <c r="B29" i="20"/>
  <c r="B47" i="20"/>
  <c r="B50" i="20" s="1"/>
  <c r="L42" i="20"/>
  <c r="L79" i="20" s="1"/>
  <c r="L80" i="20" s="1"/>
  <c r="K42" i="20"/>
  <c r="K79" i="20" s="1"/>
  <c r="K80" i="20" s="1"/>
  <c r="J42" i="20"/>
  <c r="J79" i="20" s="1"/>
  <c r="J80" i="20" s="1"/>
  <c r="I42" i="20"/>
  <c r="I79" i="20" s="1"/>
  <c r="I80" i="20" s="1"/>
  <c r="H42" i="20"/>
  <c r="H79" i="20" s="1"/>
  <c r="H80" i="20" s="1"/>
  <c r="G42" i="20"/>
  <c r="G79" i="20" s="1"/>
  <c r="G80" i="20" s="1"/>
  <c r="F42" i="20"/>
  <c r="F79" i="20" s="1"/>
  <c r="F80" i="20" s="1"/>
  <c r="E42" i="20"/>
  <c r="E79" i="20" s="1"/>
  <c r="E80" i="20" s="1"/>
  <c r="D42" i="20"/>
  <c r="D79" i="20" s="1"/>
  <c r="D80" i="20" s="1"/>
  <c r="C42" i="20"/>
  <c r="C38" i="20"/>
  <c r="C33" i="20"/>
  <c r="C29" i="20"/>
  <c r="D29" i="20"/>
  <c r="E29" i="20"/>
  <c r="F29" i="20"/>
  <c r="G29" i="20"/>
  <c r="H29" i="20"/>
  <c r="I29" i="20"/>
  <c r="J29" i="20"/>
  <c r="K29" i="20"/>
  <c r="L29" i="20"/>
  <c r="C30" i="20"/>
  <c r="D27" i="20"/>
  <c r="D30" i="20" s="1"/>
  <c r="D10" i="20"/>
  <c r="E10" i="20" s="1"/>
  <c r="F10" i="20" s="1"/>
  <c r="G10" i="20" s="1"/>
  <c r="H10" i="20" s="1"/>
  <c r="I10" i="20" s="1"/>
  <c r="J10" i="20" s="1"/>
  <c r="K10" i="20" s="1"/>
  <c r="L10" i="20" s="1"/>
  <c r="C34" i="20" l="1"/>
  <c r="C36" i="20" s="1"/>
  <c r="B55" i="20"/>
  <c r="C47" i="20"/>
  <c r="D47" i="20" s="1"/>
  <c r="E47" i="20" s="1"/>
  <c r="D33" i="20"/>
  <c r="C55" i="20" s="1"/>
  <c r="C31" i="20"/>
  <c r="B54" i="20" s="1"/>
  <c r="L57" i="20"/>
  <c r="C48" i="20"/>
  <c r="D48" i="20" s="1"/>
  <c r="E48" i="20" s="1"/>
  <c r="F48" i="20" s="1"/>
  <c r="G48" i="20" s="1"/>
  <c r="H48" i="20" s="1"/>
  <c r="I48" i="20" s="1"/>
  <c r="J48" i="20" s="1"/>
  <c r="K48" i="20" s="1"/>
  <c r="C79" i="20"/>
  <c r="C80" i="20" s="1"/>
  <c r="D31" i="20"/>
  <c r="B52" i="20"/>
  <c r="E27" i="20"/>
  <c r="B53" i="20"/>
  <c r="D38" i="20"/>
  <c r="C74" i="20"/>
  <c r="D74" i="20" s="1"/>
  <c r="E74" i="20" s="1"/>
  <c r="F74" i="20" s="1"/>
  <c r="G74" i="20" s="1"/>
  <c r="H74" i="20" s="1"/>
  <c r="I74" i="20" s="1"/>
  <c r="J74" i="20" s="1"/>
  <c r="K74" i="20" s="1"/>
  <c r="L74" i="20" s="1"/>
  <c r="B57" i="20" l="1"/>
  <c r="D50" i="20"/>
  <c r="C53" i="20"/>
  <c r="C50" i="20"/>
  <c r="C52" i="20"/>
  <c r="D34" i="20"/>
  <c r="D36" i="20" s="1"/>
  <c r="D64" i="20" s="1"/>
  <c r="C40" i="20"/>
  <c r="C76" i="20" s="1"/>
  <c r="C77" i="20" s="1"/>
  <c r="C64" i="20"/>
  <c r="F47" i="20"/>
  <c r="E50" i="20"/>
  <c r="F27" i="20"/>
  <c r="E33" i="20"/>
  <c r="E38" i="20"/>
  <c r="E30" i="20"/>
  <c r="C54" i="20"/>
  <c r="D40" i="20" l="1"/>
  <c r="D76" i="20" s="1"/>
  <c r="D77" i="20" s="1"/>
  <c r="D82" i="20" s="1"/>
  <c r="B59" i="20"/>
  <c r="B86" i="20"/>
  <c r="B91" i="20" s="1"/>
  <c r="C57" i="20"/>
  <c r="D55" i="20"/>
  <c r="D53" i="20"/>
  <c r="D52" i="20"/>
  <c r="C44" i="20"/>
  <c r="C65" i="20"/>
  <c r="E34" i="20"/>
  <c r="E36" i="20" s="1"/>
  <c r="E31" i="20"/>
  <c r="G27" i="20"/>
  <c r="F30" i="20"/>
  <c r="F38" i="20"/>
  <c r="F33" i="20"/>
  <c r="G47" i="20"/>
  <c r="F50" i="20"/>
  <c r="D65" i="20"/>
  <c r="D44" i="20"/>
  <c r="C86" i="20" l="1"/>
  <c r="C59" i="20"/>
  <c r="C68" i="20" s="1"/>
  <c r="C67" i="20"/>
  <c r="H47" i="20"/>
  <c r="G50" i="20"/>
  <c r="C69" i="20"/>
  <c r="C66" i="20"/>
  <c r="F34" i="20"/>
  <c r="F36" i="20" s="1"/>
  <c r="F31" i="20"/>
  <c r="E55" i="20"/>
  <c r="E52" i="20"/>
  <c r="E53" i="20"/>
  <c r="H27" i="20"/>
  <c r="G38" i="20"/>
  <c r="G33" i="20"/>
  <c r="G30" i="20"/>
  <c r="D66" i="20"/>
  <c r="D54" i="20"/>
  <c r="D57" i="20" s="1"/>
  <c r="E40" i="20"/>
  <c r="E76" i="20" s="1"/>
  <c r="E77" i="20" s="1"/>
  <c r="E82" i="20" s="1"/>
  <c r="E64" i="20"/>
  <c r="C82" i="20"/>
  <c r="C91" i="20" l="1"/>
  <c r="C93" i="20" s="1"/>
  <c r="D86" i="20"/>
  <c r="D91" i="20" s="1"/>
  <c r="D93" i="20" s="1"/>
  <c r="F55" i="20"/>
  <c r="F53" i="20"/>
  <c r="F52" i="20"/>
  <c r="E54" i="20"/>
  <c r="E57" i="20" s="1"/>
  <c r="F40" i="20"/>
  <c r="F76" i="20" s="1"/>
  <c r="F77" i="20" s="1"/>
  <c r="F82" i="20" s="1"/>
  <c r="F64" i="20"/>
  <c r="D59" i="20"/>
  <c r="D67" i="20"/>
  <c r="E65" i="20"/>
  <c r="E44" i="20"/>
  <c r="G34" i="20"/>
  <c r="G36" i="20" s="1"/>
  <c r="G31" i="20"/>
  <c r="I27" i="20"/>
  <c r="H30" i="20"/>
  <c r="H33" i="20"/>
  <c r="H38" i="20"/>
  <c r="I47" i="20"/>
  <c r="H50" i="20"/>
  <c r="E86" i="20" l="1"/>
  <c r="E91" i="20" s="1"/>
  <c r="E93" i="20" s="1"/>
  <c r="D68" i="20"/>
  <c r="D69" i="20"/>
  <c r="F65" i="20"/>
  <c r="F44" i="20"/>
  <c r="G64" i="20"/>
  <c r="G40" i="20"/>
  <c r="G76" i="20" s="1"/>
  <c r="G77" i="20" s="1"/>
  <c r="G82" i="20" s="1"/>
  <c r="J27" i="20"/>
  <c r="I38" i="20"/>
  <c r="I33" i="20"/>
  <c r="I30" i="20"/>
  <c r="E67" i="20"/>
  <c r="E59" i="20"/>
  <c r="E68" i="20" s="1"/>
  <c r="H34" i="20"/>
  <c r="H36" i="20" s="1"/>
  <c r="H31" i="20"/>
  <c r="F54" i="20"/>
  <c r="F57" i="20" s="1"/>
  <c r="J47" i="20"/>
  <c r="I50" i="20"/>
  <c r="E66" i="20"/>
  <c r="G55" i="20"/>
  <c r="G53" i="20"/>
  <c r="G52" i="20"/>
  <c r="F86" i="20" l="1"/>
  <c r="F91" i="20" s="1"/>
  <c r="F93" i="20" s="1"/>
  <c r="E69" i="20"/>
  <c r="F67" i="20"/>
  <c r="F59" i="20"/>
  <c r="F68" i="20" s="1"/>
  <c r="G54" i="20"/>
  <c r="G57" i="20" s="1"/>
  <c r="G86" i="20" s="1"/>
  <c r="G91" i="20" s="1"/>
  <c r="G93" i="20" s="1"/>
  <c r="K27" i="20"/>
  <c r="J38" i="20"/>
  <c r="J33" i="20"/>
  <c r="J30" i="20"/>
  <c r="H64" i="20"/>
  <c r="H40" i="20"/>
  <c r="H76" i="20" s="1"/>
  <c r="H77" i="20" s="1"/>
  <c r="H82" i="20" s="1"/>
  <c r="G65" i="20"/>
  <c r="G44" i="20"/>
  <c r="F66" i="20"/>
  <c r="K47" i="20"/>
  <c r="J50" i="20"/>
  <c r="I34" i="20"/>
  <c r="I36" i="20" s="1"/>
  <c r="I31" i="20"/>
  <c r="H55" i="20"/>
  <c r="H52" i="20"/>
  <c r="H53" i="20"/>
  <c r="F69" i="20" l="1"/>
  <c r="I55" i="20"/>
  <c r="I53" i="20"/>
  <c r="I52" i="20"/>
  <c r="I64" i="20"/>
  <c r="I40" i="20"/>
  <c r="I76" i="20" s="1"/>
  <c r="I77" i="20" s="1"/>
  <c r="I82" i="20" s="1"/>
  <c r="L50" i="20"/>
  <c r="L59" i="20" s="1"/>
  <c r="K50" i="20"/>
  <c r="J34" i="20"/>
  <c r="J36" i="20" s="1"/>
  <c r="J31" i="20"/>
  <c r="G59" i="20"/>
  <c r="G68" i="20" s="1"/>
  <c r="G67" i="20"/>
  <c r="L27" i="20"/>
  <c r="K38" i="20"/>
  <c r="K33" i="20"/>
  <c r="K30" i="20"/>
  <c r="G66" i="20"/>
  <c r="H54" i="20"/>
  <c r="H57" i="20" s="1"/>
  <c r="H65" i="20"/>
  <c r="H44" i="20"/>
  <c r="H86" i="20" l="1"/>
  <c r="H91" i="20" s="1"/>
  <c r="H93" i="20" s="1"/>
  <c r="B93" i="20"/>
  <c r="B95" i="20" s="1"/>
  <c r="C95" i="20" s="1"/>
  <c r="D95" i="20" s="1"/>
  <c r="E95" i="20" s="1"/>
  <c r="F95" i="20" s="1"/>
  <c r="H59" i="20"/>
  <c r="H68" i="20" s="1"/>
  <c r="H67" i="20"/>
  <c r="J55" i="20"/>
  <c r="J53" i="20"/>
  <c r="J52" i="20"/>
  <c r="L30" i="20"/>
  <c r="L38" i="20"/>
  <c r="L33" i="20"/>
  <c r="G69" i="20"/>
  <c r="I65" i="20"/>
  <c r="I44" i="20"/>
  <c r="I54" i="20"/>
  <c r="I57" i="20" s="1"/>
  <c r="H66" i="20"/>
  <c r="K34" i="20"/>
  <c r="K36" i="20" s="1"/>
  <c r="K31" i="20"/>
  <c r="J64" i="20"/>
  <c r="J40" i="20"/>
  <c r="J76" i="20" s="1"/>
  <c r="J77" i="20" s="1"/>
  <c r="J82" i="20" s="1"/>
  <c r="I86" i="20" l="1"/>
  <c r="I91" i="20" s="1"/>
  <c r="I93" i="20" s="1"/>
  <c r="I59" i="20"/>
  <c r="I68" i="20" s="1"/>
  <c r="I67" i="20"/>
  <c r="L31" i="20"/>
  <c r="L34" i="20"/>
  <c r="L36" i="20" s="1"/>
  <c r="J65" i="20"/>
  <c r="J44" i="20"/>
  <c r="I66" i="20"/>
  <c r="J54" i="20"/>
  <c r="J57" i="20" s="1"/>
  <c r="K64" i="20"/>
  <c r="K40" i="20"/>
  <c r="K76" i="20" s="1"/>
  <c r="K77" i="20" s="1"/>
  <c r="K82" i="20" s="1"/>
  <c r="H69" i="20"/>
  <c r="K55" i="20"/>
  <c r="K53" i="20"/>
  <c r="K52" i="20"/>
  <c r="G95" i="20"/>
  <c r="I69" i="20" l="1"/>
  <c r="J86" i="20"/>
  <c r="J91" i="20" s="1"/>
  <c r="J93" i="20" s="1"/>
  <c r="J59" i="20"/>
  <c r="J68" i="20" s="1"/>
  <c r="J67" i="20"/>
  <c r="K44" i="20"/>
  <c r="K65" i="20"/>
  <c r="L40" i="20"/>
  <c r="L76" i="20" s="1"/>
  <c r="L77" i="20" s="1"/>
  <c r="L82" i="20" s="1"/>
  <c r="L91" i="20" s="1"/>
  <c r="L93" i="20" s="1"/>
  <c r="L64" i="20"/>
  <c r="J66" i="20"/>
  <c r="K54" i="20"/>
  <c r="L67" i="20"/>
  <c r="K57" i="20"/>
  <c r="L86" i="20" s="1"/>
  <c r="H95" i="20"/>
  <c r="K86" i="20" l="1"/>
  <c r="K91" i="20" s="1"/>
  <c r="K93" i="20" s="1"/>
  <c r="J69" i="20"/>
  <c r="L44" i="20"/>
  <c r="L65" i="20"/>
  <c r="K59" i="20"/>
  <c r="K69" i="20" s="1"/>
  <c r="K67" i="20"/>
  <c r="K66" i="20"/>
  <c r="I95" i="20"/>
  <c r="H98" i="20" l="1"/>
  <c r="K68" i="20"/>
  <c r="L68" i="20"/>
  <c r="L69" i="20"/>
  <c r="H100" i="20" s="1"/>
  <c r="L66" i="20"/>
  <c r="J95" i="20"/>
  <c r="K95" i="20" l="1"/>
  <c r="L95" i="20" s="1"/>
  <c r="B98" i="20" s="1"/>
</calcChain>
</file>

<file path=xl/sharedStrings.xml><?xml version="1.0" encoding="utf-8"?>
<sst xmlns="http://schemas.openxmlformats.org/spreadsheetml/2006/main" count="83" uniqueCount="75">
  <si>
    <t xml:space="preserve"> </t>
  </si>
  <si>
    <t>∆EBITDA</t>
  </si>
  <si>
    <t>Business Plan</t>
  </si>
  <si>
    <t>Capex (k$)</t>
  </si>
  <si>
    <t>Volume</t>
  </si>
  <si>
    <t>k$</t>
  </si>
  <si>
    <t>EBITDA</t>
  </si>
  <si>
    <t>EBIT</t>
  </si>
  <si>
    <t>ROS - EBIT</t>
  </si>
  <si>
    <t>ROCE</t>
  </si>
  <si>
    <t>ATO</t>
  </si>
  <si>
    <t>ROS  - EBITDA</t>
  </si>
  <si>
    <t>Données</t>
  </si>
  <si>
    <t>Nouvelle idée, nouveau produit</t>
  </si>
  <si>
    <t>Une machine nouvelle</t>
  </si>
  <si>
    <t>Le volume croît, se stabilise, puis décroît</t>
  </si>
  <si>
    <t>Année</t>
  </si>
  <si>
    <t>Ventes et coûts</t>
  </si>
  <si>
    <t>Besoin en Fonds de Roulement</t>
  </si>
  <si>
    <t>CMPC</t>
  </si>
  <si>
    <t>Prévisions financières</t>
  </si>
  <si>
    <t>Années</t>
  </si>
  <si>
    <t>Prix de vente unitaire inflaté</t>
  </si>
  <si>
    <t>Total ventes (k$)</t>
  </si>
  <si>
    <t>Coût variable unitaire inflaté</t>
  </si>
  <si>
    <t>Contribution unitaire</t>
  </si>
  <si>
    <t>Contribution totale (k$)</t>
  </si>
  <si>
    <t>Coûts fixes (inflatés)</t>
  </si>
  <si>
    <t>moins Amortissement</t>
  </si>
  <si>
    <t>Immobilisations brutes</t>
  </si>
  <si>
    <t>moins amortissements cumulés</t>
  </si>
  <si>
    <t xml:space="preserve"> = Immobilisations nettes</t>
  </si>
  <si>
    <t>Stocks de matières premières</t>
  </si>
  <si>
    <t>Stocks de produits finis</t>
  </si>
  <si>
    <t>Crédit clients (A/R)</t>
  </si>
  <si>
    <t>Crédit fournisseurs (A/P)</t>
  </si>
  <si>
    <t>Capitaux Engagés</t>
  </si>
  <si>
    <t>Ratios clé</t>
  </si>
  <si>
    <t>ROS - Contribution  (%)</t>
  </si>
  <si>
    <t>BFR / Ventes</t>
  </si>
  <si>
    <t>Calcul VAN &amp; TIR</t>
  </si>
  <si>
    <t>∆EBITDA * (1 - T)</t>
  </si>
  <si>
    <t>∆Amortissement</t>
  </si>
  <si>
    <t>T * ∆Amortissement</t>
  </si>
  <si>
    <t>Entrées de fonds anuelles</t>
  </si>
  <si>
    <t>Capex (cash out)</t>
  </si>
  <si>
    <t>Moins variation du BFR</t>
  </si>
  <si>
    <t>Valeur résiduelle de la machine</t>
  </si>
  <si>
    <t>moins impôt sur la plus-value</t>
  </si>
  <si>
    <t>Total cash in- et out-flows</t>
  </si>
  <si>
    <t>Cash-flows actualisés (DCF)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</si>
  <si>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</si>
  <si>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</si>
  <si>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Payback financier</t>
  </si>
  <si>
    <t>années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</si>
  <si>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</si>
  <si>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ROCE moyen après impôt</t>
  </si>
  <si>
    <t>Valeur résiduelle année 10</t>
  </si>
  <si>
    <t>Taxation des plus-values</t>
  </si>
  <si>
    <t>Prix de vente unitaire en $</t>
  </si>
  <si>
    <t>Coût variable unitaire en $</t>
  </si>
  <si>
    <t>Coûts fixes</t>
  </si>
  <si>
    <t>Inflation sur le prix de vente</t>
  </si>
  <si>
    <t>Inflation sur les coûts</t>
  </si>
  <si>
    <t>Coût de production</t>
  </si>
  <si>
    <t>des coûts variables</t>
  </si>
  <si>
    <t>mois de production</t>
  </si>
  <si>
    <t>mois d'achats</t>
  </si>
  <si>
    <t>Crédit clients</t>
  </si>
  <si>
    <t>jours de ventes</t>
  </si>
  <si>
    <t>Crédit fournisseurs</t>
  </si>
  <si>
    <t>jours d'achats</t>
  </si>
  <si>
    <t>Achats</t>
  </si>
  <si>
    <t>du coût de production</t>
  </si>
  <si>
    <t>Taux d'imposition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</si>
</sst>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)\ _$_ ;_ * \(#,##0.00\)\ _$_ ;_ * &quot;-&quot;??_)\ _$_ ;_ @_ "/>
    <numFmt numFmtId="164" formatCode="#,##0;\(#,##0\)"/>
    <numFmt numFmtId="165" formatCode="_ * #,##0_)\ _$_ ;_ * \(#,##0\)\ _$_ ;_ * &quot;-&quot;??_)\ _$_ ;_ @_ "/>
    <numFmt numFmtId="166" formatCode="#,##0.0;\(#,##0.0\)"/>
    <numFmt numFmtId="167" formatCode="#,##0.00;\(#,##0.00\)"/>
    <numFmt numFmtId="168" formatCode="#,##0.00_);\(#,##0.00\)"/>
    <numFmt numFmtId="169" formatCode="#,##0.0_);\(#,##0.0\)"/>
    <numFmt numFmtId="170" formatCode="0.0%;\(0.0%\)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 (Corps)_x0000_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9" fontId="1" fillId="0" borderId="0" xfId="0" applyNumberFormat="1" applyFont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9" fontId="1" fillId="0" borderId="15" xfId="0" applyNumberFormat="1" applyFont="1" applyBorder="1" applyAlignment="1">
      <alignment horizontal="center"/>
    </xf>
    <xf numFmtId="0" fontId="2" fillId="0" borderId="0" xfId="0" applyFont="1"/>
    <xf numFmtId="165" fontId="1" fillId="0" borderId="15" xfId="2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164" fontId="1" fillId="0" borderId="0" xfId="0" applyNumberFormat="1" applyFont="1" applyFill="1" applyBorder="1"/>
    <xf numFmtId="9" fontId="1" fillId="0" borderId="0" xfId="1" applyFont="1" applyFill="1" applyBorder="1"/>
    <xf numFmtId="164" fontId="1" fillId="0" borderId="10" xfId="0" applyNumberFormat="1" applyFont="1" applyFill="1" applyBorder="1"/>
    <xf numFmtId="164" fontId="1" fillId="0" borderId="12" xfId="0" applyNumberFormat="1" applyFont="1" applyFill="1" applyBorder="1"/>
    <xf numFmtId="9" fontId="1" fillId="0" borderId="12" xfId="1" applyFont="1" applyFill="1" applyBorder="1"/>
    <xf numFmtId="164" fontId="1" fillId="0" borderId="13" xfId="0" applyNumberFormat="1" applyFont="1" applyFill="1" applyBorder="1"/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9" fontId="1" fillId="0" borderId="7" xfId="1" applyFont="1" applyFill="1" applyBorder="1"/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164" fontId="1" fillId="0" borderId="11" xfId="0" applyNumberFormat="1" applyFont="1" applyFill="1" applyBorder="1"/>
    <xf numFmtId="166" fontId="1" fillId="0" borderId="0" xfId="0" applyNumberFormat="1" applyFont="1" applyFill="1" applyBorder="1"/>
    <xf numFmtId="166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9" fontId="1" fillId="0" borderId="15" xfId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70" fontId="1" fillId="0" borderId="3" xfId="0" applyNumberFormat="1" applyFont="1" applyBorder="1" applyAlignment="1">
      <alignment horizontal="left"/>
    </xf>
    <xf numFmtId="170" fontId="1" fillId="0" borderId="3" xfId="0" applyNumberFormat="1" applyFont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9" fontId="2" fillId="0" borderId="14" xfId="1" applyFont="1" applyFill="1" applyBorder="1"/>
    <xf numFmtId="164" fontId="2" fillId="0" borderId="16" xfId="0" applyNumberFormat="1" applyFont="1" applyFill="1" applyBorder="1"/>
    <xf numFmtId="166" fontId="1" fillId="0" borderId="3" xfId="0" applyNumberFormat="1" applyFont="1" applyBorder="1"/>
    <xf numFmtId="0" fontId="5" fillId="0" borderId="0" xfId="0" applyFont="1" applyAlignment="1">
      <alignment horizontal="center"/>
    </xf>
    <xf numFmtId="170" fontId="2" fillId="2" borderId="0" xfId="0" applyNumberFormat="1" applyFont="1" applyFill="1" applyAlignment="1">
      <alignment horizontal="center"/>
    </xf>
    <xf numFmtId="164" fontId="7" fillId="0" borderId="0" xfId="0" applyNumberFormat="1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Volume (unités)</a:t>
            </a:r>
          </a:p>
        </c:rich>
      </c:tx>
      <c:overlay val="0"/>
      <c:spPr>
        <a:noFill/>
        <a:ln w="15875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Volume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'Capacity BP solution'!$B$10:$L$10</c:f>
              <c:numCache>
                <c:formatCode>#,##0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'Capacity BP solution'!$B$11:$L$11</c:f>
              <c:numCache>
                <c:formatCode>#,##0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3000</c:v>
                </c:pt>
                <c:pt idx="3">
                  <c:v>7000</c:v>
                </c:pt>
                <c:pt idx="4">
                  <c:v>9000</c:v>
                </c:pt>
                <c:pt idx="5">
                  <c:v>9000</c:v>
                </c:pt>
                <c:pt idx="6">
                  <c:v>9000</c:v>
                </c:pt>
                <c:pt idx="7">
                  <c:v>9000</c:v>
                </c:pt>
                <c:pt idx="8">
                  <c:v>8000</c:v>
                </c:pt>
                <c:pt idx="9">
                  <c:v>5000</c:v>
                </c:pt>
                <c:pt idx="10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5-CD4B-B911-DF0D2E8F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60111"/>
        <c:axId val="1342952335"/>
      </c:scatterChart>
      <c:valAx>
        <c:axId val="1353160111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2952335"/>
        <c:crosses val="autoZero"/>
        <c:crossBetween val="midCat"/>
      </c:valAx>
      <c:valAx>
        <c:axId val="13429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3160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13</xdr:row>
      <xdr:rowOff>19050</xdr:rowOff>
    </xdr:from>
    <xdr:to>
      <xdr:col>12</xdr:col>
      <xdr:colOff>76200</xdr:colOff>
      <xdr:row>24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EB95BF-D9F3-BA42-AAF0-148B7EF1C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M137"/>
  <sheetViews>
    <sheetView tabSelected="1" workbookViewId="0">
      <selection activeCell="A2" sqref="A2"/>
    </sheetView>
  </sheetViews>
  <sheetFormatPr baseColWidth="10" defaultRowHeight="19"/>
  <cols>
    <col min="1" max="1" width="36.83203125" style="3" customWidth="1"/>
    <col min="2" max="12" width="14.1640625" style="3" customWidth="1"/>
    <col min="13" max="16384" width="10.83203125" style="3"/>
  </cols>
  <sheetData>
    <row r="1" spans="1:13" ht="20" thickBot="1"/>
    <row r="2" spans="1:13" ht="31" thickTop="1" thickBot="1">
      <c r="A2" s="8" t="s">
        <v>12</v>
      </c>
      <c r="F2" s="10" t="s">
        <v>2</v>
      </c>
    </row>
    <row r="3" spans="1:13" ht="20" thickTop="1">
      <c r="J3" s="3" t="s">
        <v>0</v>
      </c>
    </row>
    <row r="4" spans="1:13" ht="21">
      <c r="A4" s="68" t="s">
        <v>13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2" t="s">
        <v>14</v>
      </c>
      <c r="B6" s="17" t="s">
        <v>3</v>
      </c>
      <c r="C6" s="22">
        <v>3000</v>
      </c>
      <c r="D6" s="17" t="s">
        <v>57</v>
      </c>
      <c r="E6" s="19"/>
      <c r="F6" s="18">
        <v>400</v>
      </c>
      <c r="G6" s="17" t="s">
        <v>58</v>
      </c>
      <c r="H6" s="19"/>
      <c r="I6" s="20">
        <v>0.25</v>
      </c>
      <c r="K6" s="14"/>
      <c r="L6" s="14"/>
      <c r="M6" s="14"/>
    </row>
    <row r="7" spans="1:1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>
      <c r="A8" s="21" t="s">
        <v>15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23" t="s">
        <v>16</v>
      </c>
      <c r="B10" s="23">
        <v>0</v>
      </c>
      <c r="C10" s="23">
        <v>1</v>
      </c>
      <c r="D10" s="23">
        <f>C10+1</f>
        <v>2</v>
      </c>
      <c r="E10" s="23">
        <f t="shared" ref="E10:L10" si="0">D10+1</f>
        <v>3</v>
      </c>
      <c r="F10" s="23">
        <f t="shared" si="0"/>
        <v>4</v>
      </c>
      <c r="G10" s="23">
        <f t="shared" si="0"/>
        <v>5</v>
      </c>
      <c r="H10" s="23">
        <f t="shared" si="0"/>
        <v>6</v>
      </c>
      <c r="I10" s="23">
        <f t="shared" si="0"/>
        <v>7</v>
      </c>
      <c r="J10" s="23">
        <f t="shared" si="0"/>
        <v>8</v>
      </c>
      <c r="K10" s="23">
        <f t="shared" si="0"/>
        <v>9</v>
      </c>
      <c r="L10" s="23">
        <f t="shared" si="0"/>
        <v>10</v>
      </c>
      <c r="M10" s="14"/>
    </row>
    <row r="11" spans="1:13">
      <c r="A11" s="23" t="s">
        <v>4</v>
      </c>
      <c r="B11" s="23">
        <v>0</v>
      </c>
      <c r="C11" s="23">
        <v>1000</v>
      </c>
      <c r="D11" s="23">
        <v>3000</v>
      </c>
      <c r="E11" s="23">
        <v>7000</v>
      </c>
      <c r="F11" s="23">
        <v>9000</v>
      </c>
      <c r="G11" s="23">
        <v>9000</v>
      </c>
      <c r="H11" s="23">
        <v>9000</v>
      </c>
      <c r="I11" s="23">
        <v>9000</v>
      </c>
      <c r="J11" s="23">
        <v>8000</v>
      </c>
      <c r="K11" s="23">
        <v>5000</v>
      </c>
      <c r="L11" s="23">
        <v>2000</v>
      </c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>
      <c r="A13" s="21" t="s">
        <v>17</v>
      </c>
      <c r="B13" s="17" t="s">
        <v>59</v>
      </c>
      <c r="C13" s="19"/>
      <c r="D13" s="18">
        <v>300</v>
      </c>
      <c r="E13" s="17" t="s">
        <v>60</v>
      </c>
      <c r="F13" s="19"/>
      <c r="G13" s="18">
        <v>120</v>
      </c>
      <c r="H13" s="17" t="s">
        <v>61</v>
      </c>
      <c r="I13" s="24">
        <v>450</v>
      </c>
      <c r="J13" s="25" t="s">
        <v>5</v>
      </c>
      <c r="K13" s="14"/>
      <c r="L13" s="14"/>
      <c r="M13" s="14"/>
    </row>
    <row r="14" spans="1:13">
      <c r="A14" s="14"/>
      <c r="B14" s="17" t="s">
        <v>62</v>
      </c>
      <c r="C14" s="19"/>
      <c r="D14" s="20">
        <v>0.01</v>
      </c>
      <c r="E14" s="17" t="s">
        <v>63</v>
      </c>
      <c r="F14" s="19"/>
      <c r="G14" s="20">
        <v>0.01</v>
      </c>
      <c r="H14" s="14"/>
      <c r="I14" s="14"/>
      <c r="J14" s="14"/>
      <c r="K14" s="14"/>
      <c r="L14" s="14"/>
      <c r="M14" s="14"/>
    </row>
    <row r="15" spans="1:1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21" t="s">
        <v>18</v>
      </c>
      <c r="B16" s="32" t="s">
        <v>64</v>
      </c>
      <c r="C16" s="33"/>
      <c r="D16" s="34">
        <v>0.8</v>
      </c>
      <c r="E16" s="33" t="s">
        <v>65</v>
      </c>
      <c r="F16" s="35"/>
      <c r="G16" s="14"/>
      <c r="H16" s="14"/>
      <c r="I16" s="14"/>
      <c r="J16" s="14"/>
      <c r="K16" s="14"/>
      <c r="L16" s="14"/>
      <c r="M16" s="14"/>
    </row>
    <row r="17" spans="1:13">
      <c r="A17" s="14"/>
      <c r="B17" s="36" t="s">
        <v>33</v>
      </c>
      <c r="C17" s="26"/>
      <c r="D17" s="38">
        <v>0.5</v>
      </c>
      <c r="E17" s="26" t="s">
        <v>66</v>
      </c>
      <c r="F17" s="28"/>
      <c r="G17" s="14"/>
      <c r="H17" s="14"/>
      <c r="I17" s="14"/>
      <c r="J17" s="14"/>
      <c r="K17" s="14"/>
      <c r="L17" s="14"/>
      <c r="M17" s="14"/>
    </row>
    <row r="18" spans="1:13">
      <c r="A18" s="14"/>
      <c r="B18" s="36" t="s">
        <v>32</v>
      </c>
      <c r="C18" s="26"/>
      <c r="D18" s="38">
        <v>1</v>
      </c>
      <c r="E18" s="26" t="s">
        <v>67</v>
      </c>
      <c r="F18" s="28"/>
      <c r="G18" s="14"/>
      <c r="H18" s="14"/>
      <c r="I18" s="14"/>
      <c r="J18" s="14"/>
      <c r="K18" s="14"/>
      <c r="L18" s="14"/>
      <c r="M18" s="14"/>
    </row>
    <row r="19" spans="1:13">
      <c r="A19" s="14"/>
      <c r="B19" s="36" t="s">
        <v>68</v>
      </c>
      <c r="C19" s="26"/>
      <c r="D19" s="26">
        <v>60</v>
      </c>
      <c r="E19" s="26" t="s">
        <v>69</v>
      </c>
      <c r="F19" s="28"/>
      <c r="G19" s="14"/>
      <c r="H19" s="14"/>
      <c r="I19" s="14"/>
      <c r="J19" s="14"/>
      <c r="K19" s="14"/>
      <c r="L19" s="14"/>
      <c r="M19" s="14"/>
    </row>
    <row r="20" spans="1:13">
      <c r="A20" s="14"/>
      <c r="B20" s="36" t="s">
        <v>70</v>
      </c>
      <c r="C20" s="26"/>
      <c r="D20" s="26">
        <v>60</v>
      </c>
      <c r="E20" s="26" t="s">
        <v>71</v>
      </c>
      <c r="F20" s="28"/>
      <c r="G20" s="14"/>
      <c r="H20" s="14"/>
      <c r="I20" s="14"/>
      <c r="J20" s="14"/>
      <c r="K20" s="14"/>
      <c r="L20" s="14"/>
      <c r="M20" s="14"/>
    </row>
    <row r="21" spans="1:13">
      <c r="A21" s="14"/>
      <c r="B21" s="37" t="s">
        <v>72</v>
      </c>
      <c r="C21" s="29"/>
      <c r="D21" s="30">
        <v>0.4</v>
      </c>
      <c r="E21" s="29" t="s">
        <v>73</v>
      </c>
      <c r="F21" s="31"/>
      <c r="G21" s="14"/>
      <c r="H21" s="14"/>
      <c r="I21" s="14"/>
      <c r="J21" s="14"/>
      <c r="K21" s="14"/>
      <c r="L21" s="14"/>
      <c r="M21" s="14"/>
    </row>
    <row r="22" spans="1:13">
      <c r="A22" s="14"/>
      <c r="B22" s="26"/>
      <c r="C22" s="26"/>
      <c r="D22" s="27"/>
      <c r="E22" s="26"/>
      <c r="F22" s="26"/>
      <c r="G22" s="14"/>
      <c r="H22" s="14"/>
      <c r="I22" s="14"/>
      <c r="J22" s="14"/>
      <c r="K22" s="14"/>
      <c r="L22" s="14"/>
      <c r="M22" s="14"/>
    </row>
    <row r="23" spans="1:13">
      <c r="A23" s="59" t="s">
        <v>19</v>
      </c>
      <c r="B23" s="60">
        <v>0.06</v>
      </c>
      <c r="C23" s="26"/>
      <c r="D23" s="65" t="s">
        <v>74</v>
      </c>
      <c r="E23" s="66"/>
      <c r="F23" s="60">
        <v>0.3</v>
      </c>
      <c r="G23" s="14"/>
      <c r="H23" s="14"/>
      <c r="I23" s="14"/>
      <c r="J23" s="14"/>
      <c r="K23" s="14"/>
      <c r="L23" s="14"/>
      <c r="M23" s="14"/>
    </row>
    <row r="24" spans="1:13" ht="20" thickBot="1"/>
    <row r="25" spans="1:13" ht="28" customHeight="1" thickTop="1" thickBot="1">
      <c r="A25" s="8" t="s">
        <v>20</v>
      </c>
      <c r="C25" s="3" t="s">
        <v>0</v>
      </c>
    </row>
    <row r="26" spans="1:13" ht="20" thickTop="1"/>
    <row r="27" spans="1:13">
      <c r="A27" s="23" t="s">
        <v>21</v>
      </c>
      <c r="B27" s="23">
        <v>0</v>
      </c>
      <c r="C27" s="23">
        <v>1</v>
      </c>
      <c r="D27" s="23">
        <f>C27+1</f>
        <v>2</v>
      </c>
      <c r="E27" s="23">
        <f t="shared" ref="E27:L27" si="1">D27+1</f>
        <v>3</v>
      </c>
      <c r="F27" s="23">
        <f t="shared" si="1"/>
        <v>4</v>
      </c>
      <c r="G27" s="23">
        <f t="shared" si="1"/>
        <v>5</v>
      </c>
      <c r="H27" s="23">
        <f t="shared" si="1"/>
        <v>6</v>
      </c>
      <c r="I27" s="23">
        <f t="shared" si="1"/>
        <v>7</v>
      </c>
      <c r="J27" s="23">
        <f t="shared" si="1"/>
        <v>8</v>
      </c>
      <c r="K27" s="23">
        <f t="shared" si="1"/>
        <v>9</v>
      </c>
      <c r="L27" s="23">
        <f t="shared" si="1"/>
        <v>10</v>
      </c>
    </row>
    <row r="28" spans="1:1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5"/>
      <c r="L28" s="5"/>
    </row>
    <row r="29" spans="1:13" s="4" customFormat="1">
      <c r="A29" s="40" t="s">
        <v>4</v>
      </c>
      <c r="B29" s="41">
        <f t="shared" ref="B29:L29" si="2">B11</f>
        <v>0</v>
      </c>
      <c r="C29" s="41">
        <f t="shared" si="2"/>
        <v>1000</v>
      </c>
      <c r="D29" s="41">
        <f t="shared" si="2"/>
        <v>3000</v>
      </c>
      <c r="E29" s="41">
        <f t="shared" si="2"/>
        <v>7000</v>
      </c>
      <c r="F29" s="41">
        <f t="shared" si="2"/>
        <v>9000</v>
      </c>
      <c r="G29" s="41">
        <f t="shared" si="2"/>
        <v>9000</v>
      </c>
      <c r="H29" s="41">
        <f t="shared" si="2"/>
        <v>9000</v>
      </c>
      <c r="I29" s="41">
        <f t="shared" si="2"/>
        <v>9000</v>
      </c>
      <c r="J29" s="41">
        <f t="shared" si="2"/>
        <v>8000</v>
      </c>
      <c r="K29" s="41">
        <f t="shared" si="2"/>
        <v>5000</v>
      </c>
      <c r="L29" s="41">
        <f t="shared" si="2"/>
        <v>2000</v>
      </c>
    </row>
    <row r="30" spans="1:13" s="39" customFormat="1">
      <c r="A30" s="43" t="s">
        <v>22</v>
      </c>
      <c r="B30" s="43"/>
      <c r="C30" s="43">
        <f>$D13*((1+$D14)^C27)</f>
        <v>303</v>
      </c>
      <c r="D30" s="43">
        <f t="shared" ref="D30:L30" si="3">$D13*((1+$D14)^D27)</f>
        <v>306.03000000000003</v>
      </c>
      <c r="E30" s="43">
        <f t="shared" si="3"/>
        <v>309.09029999999996</v>
      </c>
      <c r="F30" s="43">
        <f t="shared" si="3"/>
        <v>312.18120299999998</v>
      </c>
      <c r="G30" s="43">
        <f t="shared" si="3"/>
        <v>315.30301502999998</v>
      </c>
      <c r="H30" s="43">
        <f t="shared" si="3"/>
        <v>318.45604518030007</v>
      </c>
      <c r="I30" s="43">
        <f t="shared" si="3"/>
        <v>321.64060563210296</v>
      </c>
      <c r="J30" s="43">
        <f t="shared" si="3"/>
        <v>324.85701168842405</v>
      </c>
      <c r="K30" s="43">
        <f t="shared" si="3"/>
        <v>328.10558180530836</v>
      </c>
      <c r="L30" s="43">
        <f t="shared" si="3"/>
        <v>331.38663762336142</v>
      </c>
    </row>
    <row r="31" spans="1:13" s="54" customFormat="1">
      <c r="A31" s="53" t="s">
        <v>23</v>
      </c>
      <c r="B31" s="53"/>
      <c r="C31" s="52">
        <f>C29*C30/1000</f>
        <v>303</v>
      </c>
      <c r="D31" s="52">
        <f t="shared" ref="D31:L31" si="4">D29*D30/1000</f>
        <v>918.09000000000015</v>
      </c>
      <c r="E31" s="52">
        <f t="shared" si="4"/>
        <v>2163.6320999999998</v>
      </c>
      <c r="F31" s="52">
        <f t="shared" si="4"/>
        <v>2809.630827</v>
      </c>
      <c r="G31" s="52">
        <f t="shared" si="4"/>
        <v>2837.72713527</v>
      </c>
      <c r="H31" s="52">
        <f t="shared" si="4"/>
        <v>2866.1044066227005</v>
      </c>
      <c r="I31" s="52">
        <f t="shared" si="4"/>
        <v>2894.7654506889266</v>
      </c>
      <c r="J31" s="52">
        <f t="shared" si="4"/>
        <v>2598.8560935073924</v>
      </c>
      <c r="K31" s="52">
        <f t="shared" si="4"/>
        <v>1640.5279090265417</v>
      </c>
      <c r="L31" s="52">
        <f t="shared" si="4"/>
        <v>662.77327524672285</v>
      </c>
    </row>
    <row r="32" spans="1:13" s="54" customFormat="1">
      <c r="A32" s="53"/>
      <c r="B32" s="53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2" s="39" customFormat="1">
      <c r="A33" s="43" t="s">
        <v>24</v>
      </c>
      <c r="B33" s="43"/>
      <c r="C33" s="43">
        <f>$G13*((1+$G14)^C27)</f>
        <v>121.2</v>
      </c>
      <c r="D33" s="43">
        <f t="shared" ref="D33:L33" si="5">$G13*((1+$G14)^D27)</f>
        <v>122.41200000000001</v>
      </c>
      <c r="E33" s="43">
        <f t="shared" si="5"/>
        <v>123.63611999999999</v>
      </c>
      <c r="F33" s="43">
        <f t="shared" si="5"/>
        <v>124.87248120000001</v>
      </c>
      <c r="G33" s="43">
        <f t="shared" si="5"/>
        <v>126.12120601199999</v>
      </c>
      <c r="H33" s="43">
        <f t="shared" si="5"/>
        <v>127.38241807212002</v>
      </c>
      <c r="I33" s="43">
        <f t="shared" si="5"/>
        <v>128.65624225284117</v>
      </c>
      <c r="J33" s="43">
        <f t="shared" si="5"/>
        <v>129.94280467536962</v>
      </c>
      <c r="K33" s="43">
        <f t="shared" si="5"/>
        <v>131.24223272212333</v>
      </c>
      <c r="L33" s="43">
        <f t="shared" si="5"/>
        <v>132.55465504934457</v>
      </c>
    </row>
    <row r="34" spans="1:12" s="39" customFormat="1">
      <c r="A34" s="43" t="s">
        <v>25</v>
      </c>
      <c r="B34" s="43"/>
      <c r="C34" s="43">
        <f>C30-C33</f>
        <v>181.8</v>
      </c>
      <c r="D34" s="43">
        <f t="shared" ref="D34:L34" si="6">D30-D33</f>
        <v>183.61800000000002</v>
      </c>
      <c r="E34" s="43">
        <f t="shared" si="6"/>
        <v>185.45417999999995</v>
      </c>
      <c r="F34" s="43">
        <f t="shared" si="6"/>
        <v>187.30872179999997</v>
      </c>
      <c r="G34" s="43">
        <f t="shared" si="6"/>
        <v>189.181809018</v>
      </c>
      <c r="H34" s="43">
        <f t="shared" si="6"/>
        <v>191.07362710818006</v>
      </c>
      <c r="I34" s="43">
        <f t="shared" si="6"/>
        <v>192.98436337926179</v>
      </c>
      <c r="J34" s="43">
        <f t="shared" si="6"/>
        <v>194.91420701305444</v>
      </c>
      <c r="K34" s="43">
        <f t="shared" si="6"/>
        <v>196.86334908318503</v>
      </c>
      <c r="L34" s="43">
        <f t="shared" si="6"/>
        <v>198.83198257401685</v>
      </c>
    </row>
    <row r="35" spans="1:12" s="4" customFormat="1">
      <c r="A35" s="40"/>
      <c r="B35" s="40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s="2" customFormat="1">
      <c r="A36" s="48" t="s">
        <v>26</v>
      </c>
      <c r="B36" s="48"/>
      <c r="C36" s="52">
        <f>C29*C34/1000</f>
        <v>181.8</v>
      </c>
      <c r="D36" s="52">
        <f t="shared" ref="D36:L36" si="7">D29*D34/1000</f>
        <v>550.85400000000016</v>
      </c>
      <c r="E36" s="52">
        <f t="shared" si="7"/>
        <v>1298.1792599999994</v>
      </c>
      <c r="F36" s="52">
        <f t="shared" si="7"/>
        <v>1685.7784961999996</v>
      </c>
      <c r="G36" s="52">
        <f t="shared" si="7"/>
        <v>1702.6362811619999</v>
      </c>
      <c r="H36" s="52">
        <f t="shared" si="7"/>
        <v>1719.6626439736206</v>
      </c>
      <c r="I36" s="52">
        <f t="shared" si="7"/>
        <v>1736.8592704133562</v>
      </c>
      <c r="J36" s="52">
        <f t="shared" si="7"/>
        <v>1559.3136561044355</v>
      </c>
      <c r="K36" s="52">
        <f t="shared" si="7"/>
        <v>984.3167454159252</v>
      </c>
      <c r="L36" s="52">
        <f t="shared" si="7"/>
        <v>397.6639651480337</v>
      </c>
    </row>
    <row r="37" spans="1:12" s="4" customForma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4"/>
      <c r="L37" s="44"/>
    </row>
    <row r="38" spans="1:12" s="4" customFormat="1">
      <c r="A38" s="40" t="s">
        <v>27</v>
      </c>
      <c r="B38" s="40"/>
      <c r="C38" s="43">
        <f>-$I13*((1+$G14)^C27)</f>
        <v>-454.5</v>
      </c>
      <c r="D38" s="43">
        <f t="shared" ref="D38:L38" si="8">-$I13*((1+$G14)^D27)</f>
        <v>-459.04500000000002</v>
      </c>
      <c r="E38" s="43">
        <f t="shared" si="8"/>
        <v>-463.63544999999993</v>
      </c>
      <c r="F38" s="43">
        <f t="shared" si="8"/>
        <v>-468.27180450000003</v>
      </c>
      <c r="G38" s="43">
        <f t="shared" si="8"/>
        <v>-472.95452254499997</v>
      </c>
      <c r="H38" s="43">
        <f t="shared" si="8"/>
        <v>-477.68406777045004</v>
      </c>
      <c r="I38" s="43">
        <f t="shared" si="8"/>
        <v>-482.46090844815444</v>
      </c>
      <c r="J38" s="43">
        <f t="shared" si="8"/>
        <v>-487.28551753263611</v>
      </c>
      <c r="K38" s="43">
        <f t="shared" si="8"/>
        <v>-492.15837270796249</v>
      </c>
      <c r="L38" s="43">
        <f t="shared" si="8"/>
        <v>-497.07995643504216</v>
      </c>
    </row>
    <row r="39" spans="1:12" s="4" customForma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4"/>
      <c r="L39" s="44"/>
    </row>
    <row r="40" spans="1:12" s="2" customFormat="1">
      <c r="A40" s="48" t="s">
        <v>6</v>
      </c>
      <c r="B40" s="48"/>
      <c r="C40" s="49">
        <f>C36+C38</f>
        <v>-272.7</v>
      </c>
      <c r="D40" s="49">
        <f t="shared" ref="D40:L40" si="9">D36+D38</f>
        <v>91.80900000000014</v>
      </c>
      <c r="E40" s="49">
        <f t="shared" si="9"/>
        <v>834.54380999999944</v>
      </c>
      <c r="F40" s="49">
        <f t="shared" si="9"/>
        <v>1217.5066916999995</v>
      </c>
      <c r="G40" s="49">
        <f t="shared" si="9"/>
        <v>1229.681758617</v>
      </c>
      <c r="H40" s="49">
        <f t="shared" si="9"/>
        <v>1241.9785762031706</v>
      </c>
      <c r="I40" s="49">
        <f t="shared" si="9"/>
        <v>1254.3983619652017</v>
      </c>
      <c r="J40" s="49">
        <f t="shared" si="9"/>
        <v>1072.0281385717994</v>
      </c>
      <c r="K40" s="49">
        <f t="shared" si="9"/>
        <v>492.15837270796271</v>
      </c>
      <c r="L40" s="49">
        <f t="shared" si="9"/>
        <v>-99.415991287008467</v>
      </c>
    </row>
    <row r="41" spans="1:12" s="4" customForma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4"/>
      <c r="L41" s="44"/>
    </row>
    <row r="42" spans="1:12" s="4" customFormat="1">
      <c r="A42" s="40" t="s">
        <v>28</v>
      </c>
      <c r="B42" s="40"/>
      <c r="C42" s="44">
        <f>-$C6/10</f>
        <v>-300</v>
      </c>
      <c r="D42" s="44">
        <f t="shared" ref="D42:L42" si="10">-$C6/10</f>
        <v>-300</v>
      </c>
      <c r="E42" s="44">
        <f t="shared" si="10"/>
        <v>-300</v>
      </c>
      <c r="F42" s="44">
        <f t="shared" si="10"/>
        <v>-300</v>
      </c>
      <c r="G42" s="44">
        <f t="shared" si="10"/>
        <v>-300</v>
      </c>
      <c r="H42" s="44">
        <f t="shared" si="10"/>
        <v>-300</v>
      </c>
      <c r="I42" s="44">
        <f t="shared" si="10"/>
        <v>-300</v>
      </c>
      <c r="J42" s="44">
        <f t="shared" si="10"/>
        <v>-300</v>
      </c>
      <c r="K42" s="44">
        <f t="shared" si="10"/>
        <v>-300</v>
      </c>
      <c r="L42" s="44">
        <f t="shared" si="10"/>
        <v>-300</v>
      </c>
    </row>
    <row r="43" spans="1:12" s="4" customFormat="1">
      <c r="A43" s="44"/>
      <c r="B43" s="45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 s="2" customFormat="1">
      <c r="A44" s="50" t="s">
        <v>7</v>
      </c>
      <c r="B44" s="51"/>
      <c r="C44" s="52">
        <f>C40+C42</f>
        <v>-572.70000000000005</v>
      </c>
      <c r="D44" s="52">
        <f t="shared" ref="D44:L44" si="11">D40+D42</f>
        <v>-208.19099999999986</v>
      </c>
      <c r="E44" s="52">
        <f t="shared" si="11"/>
        <v>534.54380999999944</v>
      </c>
      <c r="F44" s="52">
        <f t="shared" si="11"/>
        <v>917.50669169999946</v>
      </c>
      <c r="G44" s="52">
        <f t="shared" si="11"/>
        <v>929.68175861700001</v>
      </c>
      <c r="H44" s="52">
        <f t="shared" si="11"/>
        <v>941.97857620317063</v>
      </c>
      <c r="I44" s="52">
        <f t="shared" si="11"/>
        <v>954.39836196520173</v>
      </c>
      <c r="J44" s="52">
        <f t="shared" si="11"/>
        <v>772.02813857179945</v>
      </c>
      <c r="K44" s="52">
        <f t="shared" si="11"/>
        <v>192.15837270796271</v>
      </c>
      <c r="L44" s="52">
        <f t="shared" si="11"/>
        <v>-399.41599128700847</v>
      </c>
    </row>
    <row r="45" spans="1:12" s="4" customFormat="1">
      <c r="A45" s="46"/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4" customFormat="1">
      <c r="A46" s="55"/>
      <c r="B46" s="56"/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2" s="4" customFormat="1">
      <c r="A47" s="44" t="s">
        <v>29</v>
      </c>
      <c r="B47" s="57">
        <f>C6</f>
        <v>3000</v>
      </c>
      <c r="C47" s="44">
        <f>B47</f>
        <v>3000</v>
      </c>
      <c r="D47" s="44">
        <f t="shared" ref="D47:K47" si="12">C47</f>
        <v>3000</v>
      </c>
      <c r="E47" s="44">
        <f t="shared" si="12"/>
        <v>3000</v>
      </c>
      <c r="F47" s="44">
        <f t="shared" si="12"/>
        <v>3000</v>
      </c>
      <c r="G47" s="44">
        <f t="shared" si="12"/>
        <v>3000</v>
      </c>
      <c r="H47" s="44">
        <f t="shared" si="12"/>
        <v>3000</v>
      </c>
      <c r="I47" s="44">
        <f t="shared" si="12"/>
        <v>3000</v>
      </c>
      <c r="J47" s="44">
        <f t="shared" si="12"/>
        <v>3000</v>
      </c>
      <c r="K47" s="44">
        <f t="shared" si="12"/>
        <v>3000</v>
      </c>
      <c r="L47" s="44">
        <v>0</v>
      </c>
    </row>
    <row r="48" spans="1:12" s="4" customFormat="1">
      <c r="A48" s="44" t="s">
        <v>30</v>
      </c>
      <c r="B48" s="45"/>
      <c r="C48" s="44">
        <f>C42</f>
        <v>-300</v>
      </c>
      <c r="D48" s="44">
        <f>C48+D42</f>
        <v>-600</v>
      </c>
      <c r="E48" s="44">
        <f t="shared" ref="E48:K48" si="13">D48+E42</f>
        <v>-900</v>
      </c>
      <c r="F48" s="44">
        <f t="shared" si="13"/>
        <v>-1200</v>
      </c>
      <c r="G48" s="44">
        <f t="shared" si="13"/>
        <v>-1500</v>
      </c>
      <c r="H48" s="44">
        <f t="shared" si="13"/>
        <v>-1800</v>
      </c>
      <c r="I48" s="44">
        <f t="shared" si="13"/>
        <v>-2100</v>
      </c>
      <c r="J48" s="44">
        <f t="shared" si="13"/>
        <v>-2400</v>
      </c>
      <c r="K48" s="44">
        <f t="shared" si="13"/>
        <v>-2700</v>
      </c>
      <c r="L48" s="44">
        <v>0</v>
      </c>
    </row>
    <row r="49" spans="1:12" s="4" customFormat="1">
      <c r="A49" s="44"/>
      <c r="B49" s="45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 s="2" customFormat="1">
      <c r="A50" s="50" t="s">
        <v>31</v>
      </c>
      <c r="B50" s="50">
        <f>B47+B48</f>
        <v>3000</v>
      </c>
      <c r="C50" s="50">
        <f>C47+C48</f>
        <v>2700</v>
      </c>
      <c r="D50" s="50">
        <f t="shared" ref="D50:L50" si="14">D47+D48</f>
        <v>2400</v>
      </c>
      <c r="E50" s="50">
        <f t="shared" si="14"/>
        <v>2100</v>
      </c>
      <c r="F50" s="50">
        <f t="shared" si="14"/>
        <v>1800</v>
      </c>
      <c r="G50" s="50">
        <f t="shared" si="14"/>
        <v>1500</v>
      </c>
      <c r="H50" s="50">
        <f t="shared" si="14"/>
        <v>1200</v>
      </c>
      <c r="I50" s="50">
        <f t="shared" si="14"/>
        <v>900</v>
      </c>
      <c r="J50" s="50">
        <f t="shared" si="14"/>
        <v>600</v>
      </c>
      <c r="K50" s="50">
        <f t="shared" si="14"/>
        <v>300</v>
      </c>
      <c r="L50" s="50">
        <f t="shared" si="14"/>
        <v>0</v>
      </c>
    </row>
    <row r="51" spans="1:12" s="4" customFormat="1">
      <c r="A51" s="44"/>
      <c r="B51" s="45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s="39" customFormat="1">
      <c r="A52" s="43" t="s">
        <v>32</v>
      </c>
      <c r="B52" s="43">
        <f>$D18*$D21*C29*C33*$D16/12000</f>
        <v>3.2320000000000002</v>
      </c>
      <c r="C52" s="43">
        <f t="shared" ref="C52:L52" si="15">$D18*$D21*D29*D33*$D16/12000</f>
        <v>9.7929600000000008</v>
      </c>
      <c r="D52" s="43">
        <f t="shared" si="15"/>
        <v>23.078742400000003</v>
      </c>
      <c r="E52" s="43">
        <f t="shared" si="15"/>
        <v>29.969395488000004</v>
      </c>
      <c r="F52" s="43">
        <f t="shared" si="15"/>
        <v>30.269089442879999</v>
      </c>
      <c r="G52" s="43">
        <f t="shared" si="15"/>
        <v>30.571780337308805</v>
      </c>
      <c r="H52" s="43">
        <f t="shared" si="15"/>
        <v>30.877498140681883</v>
      </c>
      <c r="I52" s="43">
        <f t="shared" si="15"/>
        <v>27.721131664078854</v>
      </c>
      <c r="J52" s="43">
        <f t="shared" si="15"/>
        <v>17.498964362949778</v>
      </c>
      <c r="K52" s="43">
        <f t="shared" si="15"/>
        <v>7.069581602631712</v>
      </c>
      <c r="L52" s="43">
        <f t="shared" si="15"/>
        <v>0</v>
      </c>
    </row>
    <row r="53" spans="1:12" s="39" customFormat="1">
      <c r="A53" s="43" t="s">
        <v>33</v>
      </c>
      <c r="B53" s="43">
        <f>$D17*$D16*C29*C33/12000</f>
        <v>4.04</v>
      </c>
      <c r="C53" s="43">
        <f t="shared" ref="C53:L53" si="16">$D17*$D16*D29*D33/12000</f>
        <v>12.241199999999999</v>
      </c>
      <c r="D53" s="43">
        <f t="shared" si="16"/>
        <v>28.848427999999998</v>
      </c>
      <c r="E53" s="43">
        <f t="shared" si="16"/>
        <v>37.461744360000004</v>
      </c>
      <c r="F53" s="43">
        <f t="shared" si="16"/>
        <v>37.836361803599999</v>
      </c>
      <c r="G53" s="43">
        <f t="shared" si="16"/>
        <v>38.214725421636004</v>
      </c>
      <c r="H53" s="43">
        <f t="shared" si="16"/>
        <v>38.596872675852353</v>
      </c>
      <c r="I53" s="43">
        <f t="shared" si="16"/>
        <v>34.65141458009856</v>
      </c>
      <c r="J53" s="43">
        <f t="shared" si="16"/>
        <v>21.873705453687222</v>
      </c>
      <c r="K53" s="43">
        <f t="shared" si="16"/>
        <v>8.836977003289638</v>
      </c>
      <c r="L53" s="43">
        <f t="shared" si="16"/>
        <v>0</v>
      </c>
    </row>
    <row r="54" spans="1:12" s="39" customFormat="1">
      <c r="A54" s="43" t="s">
        <v>34</v>
      </c>
      <c r="B54" s="43">
        <f>$D19*C31/360</f>
        <v>50.5</v>
      </c>
      <c r="C54" s="43">
        <f t="shared" ref="C54:L54" si="17">$D19*D31/360</f>
        <v>153.01500000000001</v>
      </c>
      <c r="D54" s="43">
        <f t="shared" si="17"/>
        <v>360.60534999999999</v>
      </c>
      <c r="E54" s="43">
        <f t="shared" si="17"/>
        <v>468.27180449999997</v>
      </c>
      <c r="F54" s="43">
        <f t="shared" si="17"/>
        <v>472.95452254500003</v>
      </c>
      <c r="G54" s="43">
        <f t="shared" si="17"/>
        <v>477.68406777045004</v>
      </c>
      <c r="H54" s="43">
        <f t="shared" si="17"/>
        <v>482.4609084481545</v>
      </c>
      <c r="I54" s="43">
        <f t="shared" si="17"/>
        <v>433.14268225123209</v>
      </c>
      <c r="J54" s="43">
        <f t="shared" si="17"/>
        <v>273.42131817109026</v>
      </c>
      <c r="K54" s="43">
        <f t="shared" si="17"/>
        <v>110.46221254112046</v>
      </c>
      <c r="L54" s="43">
        <f t="shared" si="17"/>
        <v>0</v>
      </c>
    </row>
    <row r="55" spans="1:12" s="39" customFormat="1">
      <c r="A55" s="43" t="s">
        <v>35</v>
      </c>
      <c r="B55" s="43">
        <f>$D21*C33*C29*$D20*$D16/360000</f>
        <v>6.4640000000000013</v>
      </c>
      <c r="C55" s="43">
        <f t="shared" ref="C55:L55" si="18">$D21*D33*D29*$D20*$D16/360000</f>
        <v>19.585920000000005</v>
      </c>
      <c r="D55" s="43">
        <f t="shared" si="18"/>
        <v>46.157484799999999</v>
      </c>
      <c r="E55" s="43">
        <f t="shared" si="18"/>
        <v>59.938790976000021</v>
      </c>
      <c r="F55" s="43">
        <f t="shared" si="18"/>
        <v>60.53817888575999</v>
      </c>
      <c r="G55" s="43">
        <f t="shared" si="18"/>
        <v>61.143560674617618</v>
      </c>
      <c r="H55" s="43">
        <f t="shared" si="18"/>
        <v>61.754996281363766</v>
      </c>
      <c r="I55" s="43">
        <f t="shared" si="18"/>
        <v>55.442263328157708</v>
      </c>
      <c r="J55" s="43">
        <f t="shared" si="18"/>
        <v>34.997928725899556</v>
      </c>
      <c r="K55" s="43">
        <f t="shared" si="18"/>
        <v>14.139163205263422</v>
      </c>
      <c r="L55" s="43">
        <f t="shared" si="18"/>
        <v>0</v>
      </c>
    </row>
    <row r="56" spans="1:12" s="39" customForma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 s="61" customFormat="1">
      <c r="A57" s="52" t="s">
        <v>18</v>
      </c>
      <c r="B57" s="52">
        <f>B52+B53+B54-B55</f>
        <v>51.308</v>
      </c>
      <c r="C57" s="52">
        <f t="shared" ref="C57:L57" si="19">C52+C53+C54-C55</f>
        <v>155.46324000000001</v>
      </c>
      <c r="D57" s="52">
        <f t="shared" si="19"/>
        <v>366.37503559999999</v>
      </c>
      <c r="E57" s="52">
        <f t="shared" si="19"/>
        <v>475.76415337199995</v>
      </c>
      <c r="F57" s="52">
        <f t="shared" si="19"/>
        <v>480.52179490572007</v>
      </c>
      <c r="G57" s="52">
        <f t="shared" si="19"/>
        <v>485.32701285477725</v>
      </c>
      <c r="H57" s="52">
        <f t="shared" si="19"/>
        <v>490.1802829833249</v>
      </c>
      <c r="I57" s="52">
        <f t="shared" si="19"/>
        <v>440.07296516725177</v>
      </c>
      <c r="J57" s="52">
        <f t="shared" si="19"/>
        <v>277.79605926182774</v>
      </c>
      <c r="K57" s="52">
        <f t="shared" si="19"/>
        <v>112.2296079417784</v>
      </c>
      <c r="L57" s="52">
        <f t="shared" si="19"/>
        <v>0</v>
      </c>
    </row>
    <row r="58" spans="1:12" s="61" customForma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</row>
    <row r="59" spans="1:12" s="61" customFormat="1">
      <c r="A59" s="52" t="s">
        <v>36</v>
      </c>
      <c r="B59" s="52">
        <f>B50+B57</f>
        <v>3051.308</v>
      </c>
      <c r="C59" s="52">
        <f t="shared" ref="C59:L59" si="20">C50+C57</f>
        <v>2855.46324</v>
      </c>
      <c r="D59" s="52">
        <f t="shared" si="20"/>
        <v>2766.3750356</v>
      </c>
      <c r="E59" s="52">
        <f t="shared" si="20"/>
        <v>2575.7641533719998</v>
      </c>
      <c r="F59" s="52">
        <f t="shared" si="20"/>
        <v>2280.5217949057201</v>
      </c>
      <c r="G59" s="52">
        <f t="shared" si="20"/>
        <v>1985.3270128547772</v>
      </c>
      <c r="H59" s="52">
        <f t="shared" si="20"/>
        <v>1690.180282983325</v>
      </c>
      <c r="I59" s="52">
        <f t="shared" si="20"/>
        <v>1340.0729651672518</v>
      </c>
      <c r="J59" s="52">
        <f t="shared" si="20"/>
        <v>877.79605926182774</v>
      </c>
      <c r="K59" s="52">
        <f t="shared" si="20"/>
        <v>412.2296079417784</v>
      </c>
      <c r="L59" s="52">
        <f t="shared" si="20"/>
        <v>0</v>
      </c>
    </row>
    <row r="60" spans="1:12" s="4" customFormat="1">
      <c r="A60" s="46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s="4" customFormat="1">
      <c r="A61" s="55"/>
      <c r="B61" s="56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s="4" customFormat="1">
      <c r="A62" s="50" t="s">
        <v>37</v>
      </c>
      <c r="B62" s="45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s="4" customFormat="1">
      <c r="A63" s="44"/>
      <c r="B63" s="45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2" s="64" customFormat="1">
      <c r="A64" s="62" t="s">
        <v>38</v>
      </c>
      <c r="B64" s="63"/>
      <c r="C64" s="63">
        <f>C36/C31</f>
        <v>0.60000000000000009</v>
      </c>
      <c r="D64" s="63">
        <f t="shared" ref="D64:L64" si="21">D36/D31</f>
        <v>0.60000000000000009</v>
      </c>
      <c r="E64" s="63">
        <f t="shared" si="21"/>
        <v>0.59999999999999976</v>
      </c>
      <c r="F64" s="63">
        <f t="shared" si="21"/>
        <v>0.59999999999999987</v>
      </c>
      <c r="G64" s="63">
        <f t="shared" si="21"/>
        <v>0.6</v>
      </c>
      <c r="H64" s="63">
        <f t="shared" si="21"/>
        <v>0.60000000000000009</v>
      </c>
      <c r="I64" s="63">
        <f t="shared" si="21"/>
        <v>0.60000000000000009</v>
      </c>
      <c r="J64" s="63">
        <f t="shared" si="21"/>
        <v>0.6</v>
      </c>
      <c r="K64" s="63">
        <f t="shared" si="21"/>
        <v>0.60000000000000009</v>
      </c>
      <c r="L64" s="63">
        <f t="shared" si="21"/>
        <v>0.6</v>
      </c>
    </row>
    <row r="65" spans="1:12" s="64" customFormat="1">
      <c r="A65" s="62" t="s">
        <v>11</v>
      </c>
      <c r="B65" s="63"/>
      <c r="C65" s="63">
        <f>C40/C31</f>
        <v>-0.89999999999999991</v>
      </c>
      <c r="D65" s="63">
        <f t="shared" ref="D65:L65" si="22">D40/D31</f>
        <v>0.10000000000000013</v>
      </c>
      <c r="E65" s="63">
        <f t="shared" si="22"/>
        <v>0.38571428571428551</v>
      </c>
      <c r="F65" s="63">
        <f t="shared" si="22"/>
        <v>0.43333333333333313</v>
      </c>
      <c r="G65" s="63">
        <f t="shared" si="22"/>
        <v>0.43333333333333335</v>
      </c>
      <c r="H65" s="63">
        <f t="shared" si="22"/>
        <v>0.43333333333333346</v>
      </c>
      <c r="I65" s="63">
        <f t="shared" si="22"/>
        <v>0.4333333333333334</v>
      </c>
      <c r="J65" s="63">
        <f t="shared" si="22"/>
        <v>0.41250000000000003</v>
      </c>
      <c r="K65" s="63">
        <f t="shared" si="22"/>
        <v>0.3000000000000001</v>
      </c>
      <c r="L65" s="63">
        <f t="shared" si="22"/>
        <v>-0.15000000000000005</v>
      </c>
    </row>
    <row r="66" spans="1:12" s="64" customFormat="1">
      <c r="A66" s="62" t="s">
        <v>8</v>
      </c>
      <c r="B66" s="63"/>
      <c r="C66" s="63">
        <f>C44/C31</f>
        <v>-1.8900990099009902</v>
      </c>
      <c r="D66" s="63">
        <f t="shared" ref="D66:L66" si="23">D44/D31</f>
        <v>-0.22676534980230678</v>
      </c>
      <c r="E66" s="63">
        <f t="shared" si="23"/>
        <v>0.24705855029605056</v>
      </c>
      <c r="F66" s="63">
        <f t="shared" si="23"/>
        <v>0.32655773950190914</v>
      </c>
      <c r="G66" s="63">
        <f t="shared" si="23"/>
        <v>0.32761492359925015</v>
      </c>
      <c r="H66" s="63">
        <f t="shared" si="23"/>
        <v>0.32866164052731051</v>
      </c>
      <c r="I66" s="63">
        <f t="shared" si="23"/>
        <v>0.32969799392142946</v>
      </c>
      <c r="J66" s="63">
        <f t="shared" si="23"/>
        <v>0.29706459718971101</v>
      </c>
      <c r="K66" s="63">
        <f t="shared" si="23"/>
        <v>0.11713203515201753</v>
      </c>
      <c r="L66" s="63">
        <f t="shared" si="23"/>
        <v>-0.6026434773464916</v>
      </c>
    </row>
    <row r="67" spans="1:12" s="64" customFormat="1">
      <c r="A67" s="62" t="s">
        <v>39</v>
      </c>
      <c r="B67" s="63"/>
      <c r="C67" s="63">
        <f>C57/C31</f>
        <v>0.51308000000000009</v>
      </c>
      <c r="D67" s="63">
        <f t="shared" ref="D67:L67" si="24">D57/D31</f>
        <v>0.39906222222222215</v>
      </c>
      <c r="E67" s="63">
        <f t="shared" si="24"/>
        <v>0.21989142857142857</v>
      </c>
      <c r="F67" s="63">
        <f t="shared" si="24"/>
        <v>0.17102666666666669</v>
      </c>
      <c r="G67" s="63">
        <f t="shared" si="24"/>
        <v>0.17102666666666669</v>
      </c>
      <c r="H67" s="63">
        <f t="shared" si="24"/>
        <v>0.1710266666666666</v>
      </c>
      <c r="I67" s="63">
        <f t="shared" si="24"/>
        <v>0.15202370370370372</v>
      </c>
      <c r="J67" s="63">
        <f t="shared" si="24"/>
        <v>0.10689166666666669</v>
      </c>
      <c r="K67" s="63">
        <f t="shared" si="24"/>
        <v>6.8410666666666661E-2</v>
      </c>
      <c r="L67" s="63">
        <f t="shared" si="24"/>
        <v>0</v>
      </c>
    </row>
    <row r="68" spans="1:12" s="4" customFormat="1">
      <c r="A68" s="58" t="s">
        <v>10</v>
      </c>
      <c r="B68" s="45"/>
      <c r="C68" s="43">
        <f>2*C31/(C59+B59)</f>
        <v>0.1025941204386307</v>
      </c>
      <c r="D68" s="43">
        <f t="shared" ref="D68:L68" si="25">2*D31/(D59+C59)</f>
        <v>0.32661558550508657</v>
      </c>
      <c r="E68" s="43">
        <f t="shared" si="25"/>
        <v>0.81002460754541006</v>
      </c>
      <c r="F68" s="43">
        <f t="shared" si="25"/>
        <v>1.157110951424281</v>
      </c>
      <c r="G68" s="43">
        <f t="shared" si="25"/>
        <v>1.3304396208827485</v>
      </c>
      <c r="H68" s="43">
        <f t="shared" si="25"/>
        <v>1.5595694286163353</v>
      </c>
      <c r="I68" s="43">
        <f t="shared" si="25"/>
        <v>1.9105765846175786</v>
      </c>
      <c r="J68" s="43">
        <f t="shared" si="25"/>
        <v>2.3435613779550266</v>
      </c>
      <c r="K68" s="43">
        <f t="shared" si="25"/>
        <v>2.5434035162768827</v>
      </c>
      <c r="L68" s="43">
        <f t="shared" si="25"/>
        <v>3.2155539654508765</v>
      </c>
    </row>
    <row r="69" spans="1:12" s="64" customFormat="1">
      <c r="A69" s="62" t="s">
        <v>9</v>
      </c>
      <c r="B69" s="63"/>
      <c r="C69" s="63">
        <f>2*C44/(C59+B59)</f>
        <v>-0.19391304546271884</v>
      </c>
      <c r="D69" s="63">
        <f t="shared" ref="D69:L69" si="26">2*D44/(D59+C59)</f>
        <v>-7.4065097497946195E-2</v>
      </c>
      <c r="E69" s="63">
        <f t="shared" si="26"/>
        <v>0.20012350524429631</v>
      </c>
      <c r="F69" s="63">
        <f t="shared" si="26"/>
        <v>0.3778635366500166</v>
      </c>
      <c r="G69" s="63">
        <f t="shared" si="26"/>
        <v>0.43587187474891692</v>
      </c>
      <c r="H69" s="63">
        <f t="shared" si="26"/>
        <v>0.51257064692528509</v>
      </c>
      <c r="I69" s="63">
        <f t="shared" si="26"/>
        <v>0.62991326718167195</v>
      </c>
      <c r="J69" s="63">
        <f t="shared" si="26"/>
        <v>0.69618911673157413</v>
      </c>
      <c r="K69" s="63">
        <f t="shared" si="26"/>
        <v>0.29791403007430883</v>
      </c>
      <c r="L69" s="63">
        <f t="shared" si="26"/>
        <v>-1.9378326233346166</v>
      </c>
    </row>
    <row r="70" spans="1:12" s="4" customFormat="1">
      <c r="A70" s="46"/>
      <c r="B70" s="47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4" customFormat="1" ht="20" thickBot="1">
      <c r="B71" s="16"/>
      <c r="C71" s="4" t="s">
        <v>0</v>
      </c>
    </row>
    <row r="72" spans="1:12" s="4" customFormat="1" ht="28" customHeight="1" thickTop="1" thickBot="1">
      <c r="A72" s="8" t="s">
        <v>40</v>
      </c>
      <c r="B72" s="16"/>
    </row>
    <row r="73" spans="1:12" ht="20" thickTop="1"/>
    <row r="74" spans="1:12">
      <c r="A74" s="1" t="s">
        <v>21</v>
      </c>
      <c r="B74" s="1">
        <v>0</v>
      </c>
      <c r="C74" s="1">
        <f>B74+1</f>
        <v>1</v>
      </c>
      <c r="D74" s="1">
        <f>C74+1</f>
        <v>2</v>
      </c>
      <c r="E74" s="1">
        <f t="shared" ref="E74:J74" si="27">D74+1</f>
        <v>3</v>
      </c>
      <c r="F74" s="1">
        <f t="shared" si="27"/>
        <v>4</v>
      </c>
      <c r="G74" s="1">
        <f t="shared" si="27"/>
        <v>5</v>
      </c>
      <c r="H74" s="1">
        <f t="shared" si="27"/>
        <v>6</v>
      </c>
      <c r="I74" s="1">
        <f t="shared" si="27"/>
        <v>7</v>
      </c>
      <c r="J74" s="1">
        <f t="shared" si="27"/>
        <v>8</v>
      </c>
      <c r="K74" s="1">
        <f t="shared" ref="K74" si="28">J74+1</f>
        <v>9</v>
      </c>
      <c r="L74" s="1">
        <f t="shared" ref="L74" si="29">K74+1</f>
        <v>10</v>
      </c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6" t="s">
        <v>1</v>
      </c>
      <c r="B76" s="6"/>
      <c r="C76" s="12">
        <f>C40</f>
        <v>-272.7</v>
      </c>
      <c r="D76" s="12">
        <f t="shared" ref="D76:L76" si="30">D40</f>
        <v>91.80900000000014</v>
      </c>
      <c r="E76" s="12">
        <f t="shared" si="30"/>
        <v>834.54380999999944</v>
      </c>
      <c r="F76" s="12">
        <f t="shared" si="30"/>
        <v>1217.5066916999995</v>
      </c>
      <c r="G76" s="12">
        <f t="shared" si="30"/>
        <v>1229.681758617</v>
      </c>
      <c r="H76" s="12">
        <f t="shared" si="30"/>
        <v>1241.9785762031706</v>
      </c>
      <c r="I76" s="12">
        <f t="shared" si="30"/>
        <v>1254.3983619652017</v>
      </c>
      <c r="J76" s="12">
        <f t="shared" si="30"/>
        <v>1072.0281385717994</v>
      </c>
      <c r="K76" s="12">
        <f t="shared" si="30"/>
        <v>492.15837270796271</v>
      </c>
      <c r="L76" s="12">
        <f t="shared" si="30"/>
        <v>-99.415991287008467</v>
      </c>
    </row>
    <row r="77" spans="1:12">
      <c r="A77" s="6" t="s">
        <v>41</v>
      </c>
      <c r="B77" s="6"/>
      <c r="C77" s="12">
        <f>C76*(1-$F23)</f>
        <v>-190.89</v>
      </c>
      <c r="D77" s="12">
        <f t="shared" ref="D77:L77" si="31">D76*(1-$F23)</f>
        <v>64.266300000000101</v>
      </c>
      <c r="E77" s="12">
        <f t="shared" si="31"/>
        <v>584.18066699999952</v>
      </c>
      <c r="F77" s="12">
        <f t="shared" si="31"/>
        <v>852.25468418999958</v>
      </c>
      <c r="G77" s="12">
        <f t="shared" si="31"/>
        <v>860.77723103189999</v>
      </c>
      <c r="H77" s="12">
        <f t="shared" si="31"/>
        <v>869.38500334221942</v>
      </c>
      <c r="I77" s="12">
        <f t="shared" si="31"/>
        <v>878.07885337564119</v>
      </c>
      <c r="J77" s="12">
        <f t="shared" si="31"/>
        <v>750.41969700025959</v>
      </c>
      <c r="K77" s="12">
        <f t="shared" si="31"/>
        <v>344.5108608955739</v>
      </c>
      <c r="L77" s="12">
        <f t="shared" si="31"/>
        <v>-69.591193900905921</v>
      </c>
    </row>
    <row r="78" spans="1:12">
      <c r="A78" s="6"/>
      <c r="B78" s="6"/>
      <c r="C78" s="12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 t="s">
        <v>42</v>
      </c>
      <c r="B79" s="6"/>
      <c r="C79" s="12">
        <f>-C42</f>
        <v>300</v>
      </c>
      <c r="D79" s="12">
        <f t="shared" ref="D79:L79" si="32">-D42</f>
        <v>300</v>
      </c>
      <c r="E79" s="12">
        <f t="shared" si="32"/>
        <v>300</v>
      </c>
      <c r="F79" s="12">
        <f t="shared" si="32"/>
        <v>300</v>
      </c>
      <c r="G79" s="12">
        <f t="shared" si="32"/>
        <v>300</v>
      </c>
      <c r="H79" s="12">
        <f t="shared" si="32"/>
        <v>300</v>
      </c>
      <c r="I79" s="12">
        <f t="shared" si="32"/>
        <v>300</v>
      </c>
      <c r="J79" s="12">
        <f t="shared" si="32"/>
        <v>300</v>
      </c>
      <c r="K79" s="12">
        <f t="shared" si="32"/>
        <v>300</v>
      </c>
      <c r="L79" s="12">
        <f t="shared" si="32"/>
        <v>300</v>
      </c>
    </row>
    <row r="80" spans="1:12">
      <c r="A80" s="6" t="s">
        <v>43</v>
      </c>
      <c r="B80" s="6"/>
      <c r="C80" s="12">
        <f>C79*$F23</f>
        <v>90</v>
      </c>
      <c r="D80" s="12">
        <f t="shared" ref="D80:L80" si="33">D79*$F23</f>
        <v>90</v>
      </c>
      <c r="E80" s="12">
        <f t="shared" si="33"/>
        <v>90</v>
      </c>
      <c r="F80" s="12">
        <f t="shared" si="33"/>
        <v>90</v>
      </c>
      <c r="G80" s="12">
        <f t="shared" si="33"/>
        <v>90</v>
      </c>
      <c r="H80" s="12">
        <f t="shared" si="33"/>
        <v>90</v>
      </c>
      <c r="I80" s="12">
        <f t="shared" si="33"/>
        <v>90</v>
      </c>
      <c r="J80" s="12">
        <f t="shared" si="33"/>
        <v>90</v>
      </c>
      <c r="K80" s="12">
        <f t="shared" si="33"/>
        <v>90</v>
      </c>
      <c r="L80" s="12">
        <f t="shared" si="33"/>
        <v>90</v>
      </c>
    </row>
    <row r="81" spans="1:12">
      <c r="A81" s="6"/>
      <c r="B81" s="6"/>
      <c r="C81" s="12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 t="s">
        <v>44</v>
      </c>
      <c r="B82" s="6"/>
      <c r="C82" s="12">
        <f>C77+C80</f>
        <v>-100.88999999999999</v>
      </c>
      <c r="D82" s="12">
        <f t="shared" ref="D82:L82" si="34">D77+D80</f>
        <v>154.26630000000011</v>
      </c>
      <c r="E82" s="12">
        <f t="shared" si="34"/>
        <v>674.18066699999952</v>
      </c>
      <c r="F82" s="12">
        <f t="shared" si="34"/>
        <v>942.25468418999958</v>
      </c>
      <c r="G82" s="12">
        <f t="shared" si="34"/>
        <v>950.77723103189999</v>
      </c>
      <c r="H82" s="12">
        <f t="shared" si="34"/>
        <v>959.38500334221942</v>
      </c>
      <c r="I82" s="12">
        <f t="shared" si="34"/>
        <v>968.07885337564119</v>
      </c>
      <c r="J82" s="12">
        <f t="shared" si="34"/>
        <v>840.41969700025959</v>
      </c>
      <c r="K82" s="12">
        <f t="shared" si="34"/>
        <v>434.5108608955739</v>
      </c>
      <c r="L82" s="12">
        <f t="shared" si="34"/>
        <v>20.408806099094079</v>
      </c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 t="s">
        <v>45</v>
      </c>
      <c r="B84" s="12">
        <f>-C6</f>
        <v>-3000</v>
      </c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12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 t="s">
        <v>46</v>
      </c>
      <c r="B86" s="67">
        <f>-B57</f>
        <v>-51.308</v>
      </c>
      <c r="C86" s="67">
        <f>B57-C57</f>
        <v>-104.15524000000002</v>
      </c>
      <c r="D86" s="67">
        <f t="shared" ref="D86:L86" si="35">C57-D57</f>
        <v>-210.91179559999998</v>
      </c>
      <c r="E86" s="67">
        <f t="shared" si="35"/>
        <v>-109.38911777199996</v>
      </c>
      <c r="F86" s="67">
        <f t="shared" si="35"/>
        <v>-4.7576415337201183</v>
      </c>
      <c r="G86" s="67">
        <f>F57-G57</f>
        <v>-4.8052179490571802</v>
      </c>
      <c r="H86" s="67">
        <f t="shared" si="35"/>
        <v>-4.8532701285476492</v>
      </c>
      <c r="I86" s="67">
        <f t="shared" si="35"/>
        <v>50.107317816073135</v>
      </c>
      <c r="J86" s="67">
        <f t="shared" si="35"/>
        <v>162.27690590542403</v>
      </c>
      <c r="K86" s="67">
        <f t="shared" si="35"/>
        <v>165.56645132004934</v>
      </c>
      <c r="L86" s="67">
        <f t="shared" si="35"/>
        <v>112.2296079417784</v>
      </c>
    </row>
    <row r="87" spans="1:12">
      <c r="A87" s="6"/>
      <c r="B87" s="12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 t="s">
        <v>47</v>
      </c>
      <c r="B88" s="12"/>
      <c r="C88" s="6"/>
      <c r="D88" s="6"/>
      <c r="E88" s="6"/>
      <c r="F88" s="6"/>
      <c r="G88" s="6"/>
      <c r="H88" s="6"/>
      <c r="I88" s="6"/>
      <c r="J88" s="6"/>
      <c r="K88" s="6"/>
      <c r="L88" s="6">
        <f>F6</f>
        <v>400</v>
      </c>
    </row>
    <row r="89" spans="1:12">
      <c r="A89" s="6" t="s">
        <v>48</v>
      </c>
      <c r="B89" s="12"/>
      <c r="C89" s="6"/>
      <c r="D89" s="6"/>
      <c r="E89" s="6"/>
      <c r="F89" s="6"/>
      <c r="G89" s="6"/>
      <c r="H89" s="6"/>
      <c r="I89" s="6"/>
      <c r="J89" s="6"/>
      <c r="K89" s="6"/>
      <c r="L89" s="6">
        <f>-L88*I6</f>
        <v>-100</v>
      </c>
    </row>
    <row r="90" spans="1:12">
      <c r="A90" s="6"/>
      <c r="B90" s="12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 t="s">
        <v>49</v>
      </c>
      <c r="B91" s="12">
        <f>B84+B86</f>
        <v>-3051.308</v>
      </c>
      <c r="C91" s="12">
        <f>C82+C86</f>
        <v>-205.04524000000001</v>
      </c>
      <c r="D91" s="12">
        <f t="shared" ref="D91:K91" si="36">D82+D86</f>
        <v>-56.645495599999862</v>
      </c>
      <c r="E91" s="12">
        <f t="shared" si="36"/>
        <v>564.79154922799955</v>
      </c>
      <c r="F91" s="12">
        <f t="shared" si="36"/>
        <v>937.49704265627952</v>
      </c>
      <c r="G91" s="12">
        <f t="shared" si="36"/>
        <v>945.97201308284275</v>
      </c>
      <c r="H91" s="12">
        <f t="shared" si="36"/>
        <v>954.53173321367171</v>
      </c>
      <c r="I91" s="12">
        <f t="shared" si="36"/>
        <v>1018.1861711917143</v>
      </c>
      <c r="J91" s="12">
        <f t="shared" si="36"/>
        <v>1002.6966029056837</v>
      </c>
      <c r="K91" s="12">
        <f t="shared" si="36"/>
        <v>600.07731221562324</v>
      </c>
      <c r="L91" s="12">
        <f>L82+L86+L88+L89</f>
        <v>432.63841404087248</v>
      </c>
    </row>
    <row r="92" spans="1:12">
      <c r="A92" s="6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6" t="s">
        <v>50</v>
      </c>
      <c r="B93" s="12">
        <f>B91/((1+$B38)^B74)</f>
        <v>-3051.308</v>
      </c>
      <c r="C93" s="12">
        <f>C91/((1+$B23)^C74)</f>
        <v>-193.43890566037734</v>
      </c>
      <c r="D93" s="12">
        <f t="shared" ref="D93:L93" si="37">D91/((1+$B23)^D74)</f>
        <v>-50.41428942684216</v>
      </c>
      <c r="E93" s="12">
        <f t="shared" si="37"/>
        <v>474.20987562551585</v>
      </c>
      <c r="F93" s="12">
        <f t="shared" si="37"/>
        <v>742.58546679242306</v>
      </c>
      <c r="G93" s="12">
        <f t="shared" si="37"/>
        <v>706.88531807871072</v>
      </c>
      <c r="H93" s="12">
        <f t="shared" si="37"/>
        <v>672.90720651313086</v>
      </c>
      <c r="I93" s="12">
        <f t="shared" si="37"/>
        <v>677.15195614293918</v>
      </c>
      <c r="J93" s="12">
        <f t="shared" si="37"/>
        <v>629.1042533654487</v>
      </c>
      <c r="K93" s="12">
        <f t="shared" si="37"/>
        <v>355.18483909965448</v>
      </c>
      <c r="L93" s="12">
        <f t="shared" si="37"/>
        <v>241.5830306932634</v>
      </c>
    </row>
    <row r="94" spans="1:12">
      <c r="A94" s="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6" t="s">
        <v>51</v>
      </c>
      <c r="B95" s="12">
        <f>B93</f>
        <v>-3051.308</v>
      </c>
      <c r="C95" s="12">
        <f>B95+C93</f>
        <v>-3244.7469056603773</v>
      </c>
      <c r="D95" s="12">
        <f t="shared" ref="D95:J95" si="38">C95+D93</f>
        <v>-3295.1611950872193</v>
      </c>
      <c r="E95" s="12">
        <f t="shared" si="38"/>
        <v>-2820.9513194617034</v>
      </c>
      <c r="F95" s="12">
        <f t="shared" si="38"/>
        <v>-2078.3658526692802</v>
      </c>
      <c r="G95" s="12">
        <f t="shared" si="38"/>
        <v>-1371.4805345905695</v>
      </c>
      <c r="H95" s="12">
        <f t="shared" si="38"/>
        <v>-698.57332807743865</v>
      </c>
      <c r="I95" s="12">
        <f t="shared" si="38"/>
        <v>-21.421371934499462</v>
      </c>
      <c r="J95" s="12">
        <f t="shared" si="38"/>
        <v>607.68288143094924</v>
      </c>
      <c r="K95" s="12">
        <f t="shared" ref="K95" si="39">J95+K93</f>
        <v>962.86772053060372</v>
      </c>
      <c r="L95" s="12">
        <f t="shared" ref="L95" si="40">K95+L93</f>
        <v>1204.4507512238672</v>
      </c>
    </row>
    <row r="96" spans="1:1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8" spans="1:11">
      <c r="A98" s="70" t="s">
        <v>52</v>
      </c>
      <c r="B98" s="2">
        <f>L95</f>
        <v>1204.4507512238672</v>
      </c>
      <c r="C98"/>
      <c r="D98"/>
      <c r="E98" s="70" t="s">
        <v>55</v>
      </c>
      <c r="H98" s="9">
        <f>IRR(B91:L91,0)</f>
        <v>0.11761647779063833</v>
      </c>
      <c r="I98"/>
      <c r="J98"/>
    </row>
    <row r="100" spans="1:11">
      <c r="A100" s="13" t="s">
        <v>53</v>
      </c>
      <c r="B100" s="11">
        <v>7</v>
      </c>
      <c r="C100" s="3" t="s">
        <v>54</v>
      </c>
      <c r="E100" s="14" t="s">
        <v>56</v>
      </c>
      <c r="F100" s="14"/>
      <c r="G100" s="14"/>
      <c r="H100" s="69">
        <f>AVERAGE(C69:L69)*(1-F23)</f>
        <v>6.6124464788255177E-2</v>
      </c>
    </row>
    <row r="101" spans="1:11">
      <c r="E101" s="3" t="s">
        <v>0</v>
      </c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 s="14"/>
    </row>
    <row r="107" spans="1:11">
      <c r="A107"/>
      <c r="B107"/>
      <c r="C107"/>
      <c r="D107"/>
      <c r="E107"/>
      <c r="F107"/>
      <c r="G107"/>
      <c r="H107"/>
      <c r="I107"/>
      <c r="J107"/>
      <c r="K107" s="14"/>
    </row>
    <row r="108" spans="1:11">
      <c r="A108"/>
      <c r="B108"/>
      <c r="C108"/>
      <c r="D108"/>
      <c r="E108"/>
      <c r="F108"/>
      <c r="G108"/>
      <c r="H108"/>
      <c r="I108"/>
      <c r="J108"/>
      <c r="K108" s="14"/>
    </row>
    <row r="109" spans="1:11">
      <c r="A109"/>
      <c r="B109"/>
      <c r="C109"/>
      <c r="D109"/>
      <c r="E109"/>
      <c r="F109"/>
      <c r="G109"/>
      <c r="H109"/>
      <c r="I109"/>
      <c r="J109"/>
      <c r="K109" s="14"/>
    </row>
    <row r="110" spans="1:11">
      <c r="A110"/>
      <c r="B110"/>
      <c r="C110"/>
      <c r="D110"/>
      <c r="E110"/>
      <c r="F110"/>
      <c r="G110"/>
      <c r="H110"/>
      <c r="I110"/>
      <c r="J110"/>
      <c r="K110" s="14"/>
    </row>
    <row r="111" spans="1:11">
      <c r="A111"/>
      <c r="B111"/>
      <c r="C111"/>
      <c r="D111"/>
      <c r="E111"/>
      <c r="F111"/>
      <c r="G111"/>
      <c r="H111"/>
      <c r="I111"/>
      <c r="J111"/>
      <c r="K111" s="14"/>
    </row>
    <row r="112" spans="1:11">
      <c r="A112"/>
      <c r="B112"/>
      <c r="C112"/>
      <c r="D112"/>
      <c r="E112"/>
      <c r="F112"/>
      <c r="G112"/>
      <c r="H112"/>
      <c r="I112"/>
      <c r="J112"/>
    </row>
    <row r="113" spans="1:11">
      <c r="A113"/>
      <c r="B113"/>
      <c r="C113"/>
      <c r="D113"/>
      <c r="E113"/>
      <c r="F113"/>
      <c r="G113"/>
      <c r="H113"/>
      <c r="I113"/>
      <c r="J113"/>
      <c r="K113" s="14"/>
    </row>
    <row r="114" spans="1:11">
      <c r="A114"/>
      <c r="B114"/>
      <c r="C114"/>
      <c r="D114"/>
      <c r="E114"/>
      <c r="F114"/>
      <c r="G114"/>
      <c r="H114"/>
      <c r="I114"/>
      <c r="J114"/>
      <c r="K114" s="14"/>
    </row>
    <row r="115" spans="1:11">
      <c r="A115"/>
      <c r="B115"/>
      <c r="C115"/>
      <c r="D115"/>
      <c r="E115"/>
      <c r="F115"/>
      <c r="G115"/>
      <c r="H115"/>
      <c r="I115"/>
      <c r="J115"/>
      <c r="K115" s="14"/>
    </row>
    <row r="116" spans="1:11">
      <c r="A116"/>
      <c r="B116"/>
      <c r="C116"/>
      <c r="D116"/>
      <c r="E116"/>
      <c r="F116"/>
      <c r="G116"/>
      <c r="H116"/>
      <c r="I116"/>
      <c r="J116"/>
      <c r="K116" s="14"/>
    </row>
    <row r="117" spans="1:11">
      <c r="A117"/>
      <c r="B117"/>
      <c r="C117"/>
      <c r="D117"/>
      <c r="E117"/>
      <c r="F117"/>
      <c r="G117"/>
      <c r="H117"/>
      <c r="I117"/>
      <c r="J117"/>
      <c r="K117" s="14"/>
    </row>
    <row r="118" spans="1:11">
      <c r="A118"/>
      <c r="B118"/>
      <c r="C118"/>
      <c r="D118"/>
      <c r="E118"/>
      <c r="F118"/>
      <c r="G118"/>
      <c r="H118"/>
      <c r="I118"/>
      <c r="J118"/>
      <c r="K118" s="14"/>
    </row>
    <row r="119" spans="1:11">
      <c r="A119"/>
      <c r="B119"/>
      <c r="C119"/>
      <c r="D119"/>
      <c r="E119"/>
      <c r="F119"/>
      <c r="G119"/>
      <c r="H119"/>
      <c r="I119"/>
      <c r="J119"/>
      <c r="K119" s="14"/>
    </row>
    <row r="120" spans="1:11">
      <c r="A120"/>
      <c r="B120"/>
      <c r="C120"/>
      <c r="D120"/>
      <c r="E120"/>
      <c r="F120"/>
      <c r="G120"/>
      <c r="H120"/>
      <c r="I120"/>
      <c r="J120"/>
      <c r="K120" s="14"/>
    </row>
    <row r="121" spans="1:11">
      <c r="A121"/>
      <c r="B121"/>
      <c r="C121"/>
      <c r="D121"/>
      <c r="E121"/>
      <c r="F121"/>
      <c r="G121"/>
      <c r="H121"/>
      <c r="I121"/>
      <c r="J121"/>
      <c r="K121" s="14"/>
    </row>
    <row r="122" spans="1:11">
      <c r="A122"/>
      <c r="B122"/>
      <c r="C122"/>
      <c r="D122"/>
      <c r="E122"/>
      <c r="F122"/>
      <c r="G122"/>
      <c r="H122"/>
      <c r="I122"/>
      <c r="J122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/>
      <c r="B128"/>
      <c r="C128"/>
      <c r="D128"/>
      <c r="E128"/>
      <c r="F128"/>
      <c r="G128"/>
      <c r="H128"/>
      <c r="I128"/>
      <c r="J128"/>
      <c r="K128"/>
    </row>
    <row r="129" spans="1:11">
      <c r="A129"/>
      <c r="B129"/>
      <c r="C129"/>
      <c r="D129"/>
      <c r="E129"/>
      <c r="F129"/>
      <c r="G129"/>
      <c r="H129"/>
      <c r="I129"/>
      <c r="J129"/>
      <c r="K129"/>
    </row>
    <row r="130" spans="1:11">
      <c r="A130"/>
      <c r="B130"/>
      <c r="C130"/>
      <c r="D130"/>
      <c r="E130"/>
      <c r="F130"/>
      <c r="G130"/>
      <c r="H130"/>
      <c r="I130"/>
      <c r="J130"/>
      <c r="K130"/>
    </row>
    <row r="131" spans="1:11">
      <c r="A131"/>
      <c r="B131"/>
      <c r="C131"/>
      <c r="D131"/>
      <c r="E131"/>
      <c r="F131"/>
      <c r="G131"/>
      <c r="H131"/>
      <c r="I131"/>
      <c r="J131"/>
      <c r="K131"/>
    </row>
    <row r="132" spans="1:11">
      <c r="A132"/>
      <c r="B132"/>
      <c r="C132"/>
      <c r="D132"/>
      <c r="E132"/>
      <c r="F132"/>
      <c r="G132"/>
      <c r="H132"/>
      <c r="I132"/>
      <c r="J132"/>
      <c r="K132"/>
    </row>
    <row r="133" spans="1:11">
      <c r="A133"/>
      <c r="B133"/>
      <c r="C133"/>
      <c r="D133"/>
      <c r="E133"/>
      <c r="F133"/>
      <c r="G133"/>
      <c r="H133"/>
      <c r="I133"/>
      <c r="J133"/>
      <c r="K133"/>
    </row>
    <row r="134" spans="1:11">
      <c r="A134"/>
      <c r="B134"/>
      <c r="C134"/>
      <c r="D134"/>
      <c r="E134"/>
      <c r="F134"/>
      <c r="G134"/>
      <c r="H134"/>
      <c r="I134"/>
      <c r="J134"/>
      <c r="K134"/>
    </row>
    <row r="135" spans="1:11">
      <c r="A135"/>
      <c r="B135"/>
      <c r="C135"/>
      <c r="D135"/>
      <c r="E135"/>
      <c r="F135"/>
      <c r="G135"/>
      <c r="H135"/>
      <c r="I135"/>
      <c r="J135"/>
      <c r="K135"/>
    </row>
    <row r="136" spans="1:11">
      <c r="A136"/>
      <c r="B136"/>
      <c r="C136"/>
      <c r="D136"/>
      <c r="E136"/>
      <c r="F136"/>
      <c r="G136"/>
      <c r="H136"/>
      <c r="I136"/>
      <c r="J136"/>
      <c r="K136"/>
    </row>
    <row r="137" spans="1:11">
      <c r="A137"/>
      <c r="B137"/>
      <c r="C137"/>
      <c r="D137"/>
      <c r="E137"/>
      <c r="F137"/>
      <c r="G137"/>
      <c r="H137"/>
      <c r="I137"/>
      <c r="J137"/>
      <c r="K1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BP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2020-07-03T11:17:08Z</dcterms:modified>
</cp:coreProperties>
</file>